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Potencial de deposição Proteica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<sst xmlns="http://schemas.openxmlformats.org/spreadsheetml/2006/main" count="110" uniqueCount="49">
  <si>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animal</t>
  </si>
  <si>
    <t>WBPG</t>
  </si>
  <si>
    <t>lis g/dia</t>
  </si>
  <si>
    <t>consumo</t>
  </si>
  <si>
    <t>mantença</t>
  </si>
  <si>
    <t>deposição</t>
  </si>
  <si>
    <t>energia dig kcal/dia</t>
  </si>
  <si>
    <t>GMD</t>
  </si>
  <si>
    <t>GTM</t>
  </si>
  <si>
    <t>GTA</t>
  </si>
  <si>
    <t>CONSUMO</t>
  </si>
  <si>
    <t>CA</t>
  </si>
  <si>
    <t>Exigência</t>
  </si>
  <si>
    <t>Sobra Lis</t>
  </si>
  <si>
    <t>Dieta calculada para o animal médio</t>
  </si>
  <si>
    <t>5,22 + (15,51 x LIS dig verd %)</t>
  </si>
  <si>
    <t>Excreção N</t>
  </si>
  <si>
    <t>LISINA</t>
  </si>
  <si>
    <t>ENERGIA EM</t>
  </si>
  <si>
    <t>Sobra EM</t>
  </si>
  <si>
    <t>GProt dia</t>
  </si>
  <si>
    <t>GG dia</t>
  </si>
  <si>
    <t>Desempenho</t>
  </si>
  <si>
    <t>Gpeso</t>
  </si>
  <si>
    <t>Consumo g</t>
  </si>
  <si>
    <t>Custo DP</t>
  </si>
  <si>
    <t>% musculo</t>
  </si>
  <si>
    <t>Média do lote</t>
  </si>
  <si>
    <t>Eq PB x Lis (%)</t>
  </si>
  <si>
    <t>Consumo/dia</t>
  </si>
  <si>
    <t>Cons gPB/dia</t>
  </si>
  <si>
    <t>% LIS DV = gLIS/dia : gRação/dia * 100</t>
  </si>
  <si>
    <t>Cons PB dia</t>
  </si>
  <si>
    <t>Dieta calculada para o animal melhor</t>
  </si>
  <si>
    <t>Dieta calculada para o animal pior</t>
  </si>
  <si>
    <t>Simulador de variação em lotes de suinos em terminação (equações do NRC1998)</t>
  </si>
  <si>
    <t>médio</t>
  </si>
  <si>
    <t>Marson Bruck Warpechowski</t>
  </si>
  <si>
    <t>Prof. Adjunto DZ-SCA-UFPR</t>
  </si>
  <si>
    <t>-----------------123</t>
  </si>
  <si>
    <t>-------------------</t>
  </si>
  <si>
    <t>Sexo</t>
  </si>
  <si>
    <t>macho inteiro</t>
  </si>
  <si>
    <t>Peso vivo (kg)</t>
  </si>
  <si>
    <t>Temperatura</t>
  </si>
  <si>
    <t>Lotação</t>
  </si>
  <si>
    <t>conforto</t>
  </si>
  <si>
    <t>Eficiencia</t>
  </si>
  <si>
    <t>Versão 1.1 (2010)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</si>
</sst>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0.0%"/>
    <numFmt numFmtId="174" formatCode="0.000%"/>
    <numFmt numFmtId="175" formatCode="0.0"/>
  </numFmts>
  <fonts count="2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1" fillId="0" borderId="10" xfId="0" applyNumberFormat="1" applyFont="1" applyBorder="1" applyAlignment="1" applyProtection="1">
      <alignment horizontal="center"/>
      <protection locked="0"/>
    </xf>
    <xf numFmtId="2" fontId="2" fillId="0" borderId="10" xfId="5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5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2" fontId="0" fillId="24" borderId="1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48" applyFont="1" applyBorder="1" applyAlignment="1" applyProtection="1">
      <alignment horizontal="center" vertical="center"/>
      <protection locked="0"/>
    </xf>
    <xf numFmtId="1" fontId="6" fillId="0" borderId="10" xfId="54" applyNumberFormat="1" applyFont="1" applyBorder="1" applyAlignment="1" applyProtection="1">
      <alignment horizontal="center" vertical="center"/>
      <protection locked="0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175" fontId="2" fillId="0" borderId="10" xfId="48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9" fontId="0" fillId="0" borderId="0" xfId="54" applyFont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172" fontId="0" fillId="25" borderId="0" xfId="0" applyNumberFormat="1" applyFont="1" applyFill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172" fontId="5" fillId="25" borderId="10" xfId="0" applyNumberFormat="1" applyFont="1" applyFill="1" applyBorder="1" applyAlignment="1" applyProtection="1">
      <alignment horizontal="center" vertical="center"/>
      <protection locked="0"/>
    </xf>
    <xf numFmtId="0" fontId="5" fillId="22" borderId="10" xfId="0" applyFont="1" applyFill="1" applyBorder="1" applyAlignment="1" applyProtection="1">
      <alignment horizontal="center" vertical="center"/>
      <protection locked="0"/>
    </xf>
    <xf numFmtId="172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5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5" fillId="0" borderId="10" xfId="5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9" fillId="26" borderId="10" xfId="0" applyFont="1" applyFill="1" applyBorder="1" applyAlignment="1" applyProtection="1">
      <alignment horizontal="center"/>
      <protection/>
    </xf>
    <xf numFmtId="172" fontId="9" fillId="26" borderId="10" xfId="0" applyNumberFormat="1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rmal 6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1.421875" style="9" customWidth="1"/>
    <col min="2" max="2" width="13.140625" style="9" customWidth="1"/>
    <col min="3" max="3" width="13.00390625" style="9" customWidth="1"/>
    <col min="4" max="4" width="14.00390625" style="9" customWidth="1"/>
    <col min="5" max="5" width="13.57421875" style="11" customWidth="1"/>
    <col min="6" max="6" width="12.421875" style="9" bestFit="1" customWidth="1"/>
    <col min="7" max="7" width="12.421875" style="9" customWidth="1"/>
    <col min="8" max="10" width="15.28125" style="9" customWidth="1"/>
    <col min="11" max="11" width="12.28125" style="9" customWidth="1"/>
    <col min="12" max="12" width="10.00390625" style="9" customWidth="1"/>
    <col min="13" max="14" width="9.140625" style="9" customWidth="1"/>
    <col min="15" max="15" width="10.28125" style="9" customWidth="1"/>
    <col min="16" max="16" width="13.140625" style="9" bestFit="1" customWidth="1"/>
    <col min="17" max="16384" width="9.140625" style="9" customWidth="1"/>
  </cols>
  <sheetData>
    <row r="1" spans="1:5" s="43" customFormat="1" ht="15">
      <c r="A1" s="49" t="s">
        <v>48</v>
      </c>
      <c r="B1" s="49"/>
      <c r="C1" s="42" t="s">
        <v>35</v>
      </c>
      <c r="E1" s="44"/>
    </row>
    <row r="2" spans="1:7" s="43" customFormat="1" ht="12.75">
      <c r="A2" s="49" t="s">
        <v>37</v>
      </c>
      <c r="B2" s="49"/>
      <c r="D2" s="45" t="s">
        <v>41</v>
      </c>
      <c r="E2" s="46" t="s">
        <v>43</v>
      </c>
      <c r="F2" s="45" t="s">
        <v>44</v>
      </c>
      <c r="G2" s="45" t="s">
        <v>45</v>
      </c>
    </row>
    <row r="3" spans="1:7" s="43" customFormat="1" ht="12.75">
      <c r="A3" s="49" t="s">
        <v>38</v>
      </c>
      <c r="B3" s="49"/>
      <c r="D3" s="47" t="s">
        <v>42</v>
      </c>
      <c r="E3" s="10">
        <v>50</v>
      </c>
      <c r="F3" s="47" t="s">
        <v>46</v>
      </c>
      <c r="G3" s="47" t="s">
        <v>46</v>
      </c>
    </row>
    <row r="4" spans="1:9" s="43" customFormat="1" ht="12.75">
      <c r="A4" s="48" t="s">
        <v>39</v>
      </c>
      <c r="B4" s="48" t="s">
        <v>40</v>
      </c>
      <c r="C4" s="43" t="s">
        <v>2</v>
      </c>
      <c r="E4" s="44"/>
      <c r="H4" s="43">
        <f>(7700-396)</f>
        <v>7304</v>
      </c>
      <c r="I4" s="43" t="s">
        <v>6</v>
      </c>
    </row>
    <row r="5" spans="1:16" ht="12.75">
      <c r="A5" s="12" t="s">
        <v>0</v>
      </c>
      <c r="B5" s="12" t="s">
        <v>1</v>
      </c>
      <c r="C5" s="12" t="s">
        <v>3</v>
      </c>
      <c r="D5" s="12" t="s">
        <v>4</v>
      </c>
      <c r="E5" s="13" t="s">
        <v>5</v>
      </c>
      <c r="F5" s="14" t="s">
        <v>32</v>
      </c>
      <c r="G5" s="12" t="s">
        <v>3</v>
      </c>
      <c r="H5" s="12" t="s">
        <v>4</v>
      </c>
      <c r="I5" s="12" t="s">
        <v>5</v>
      </c>
      <c r="J5" s="12" t="s">
        <v>12</v>
      </c>
      <c r="K5" s="12" t="s">
        <v>19</v>
      </c>
      <c r="L5" s="12" t="s">
        <v>7</v>
      </c>
      <c r="M5" s="12" t="s">
        <v>8</v>
      </c>
      <c r="N5" s="12" t="s">
        <v>9</v>
      </c>
      <c r="O5" s="12" t="s">
        <v>10</v>
      </c>
      <c r="P5" s="12" t="s">
        <v>11</v>
      </c>
    </row>
    <row r="6" spans="1:16" ht="12.75">
      <c r="A6" s="7">
        <v>1</v>
      </c>
      <c r="B6" s="7">
        <v>350</v>
      </c>
      <c r="C6" s="1">
        <v>17.9</v>
      </c>
      <c r="D6" s="2">
        <f>0.036*50^0.75</f>
        <v>0.6769085567555507</v>
      </c>
      <c r="E6" s="15">
        <f>0.12*M6*0.23</f>
        <v>17.2224</v>
      </c>
      <c r="F6" s="4"/>
      <c r="G6" s="7">
        <v>7309</v>
      </c>
      <c r="H6" s="9">
        <f>(106*50^0.75)</f>
        <v>1993.1196393357884</v>
      </c>
      <c r="I6" s="9">
        <f>10.6*(M6*0.23)</f>
        <v>1521.3120000000001</v>
      </c>
      <c r="J6" s="16">
        <f>SUM(H6:I6)</f>
        <v>3514.4316393357885</v>
      </c>
      <c r="K6" s="17">
        <f>G6-J6</f>
        <v>3794.5683606642115</v>
      </c>
      <c r="L6" s="7">
        <v>995</v>
      </c>
      <c r="M6" s="7">
        <v>624</v>
      </c>
      <c r="N6" s="7">
        <v>311</v>
      </c>
      <c r="O6" s="7">
        <v>2150</v>
      </c>
      <c r="P6" s="7">
        <v>2.16</v>
      </c>
    </row>
    <row r="7" spans="1:16" ht="12.75">
      <c r="A7" s="7">
        <v>2</v>
      </c>
      <c r="B7" s="7">
        <v>345</v>
      </c>
      <c r="C7" s="1">
        <v>17.65</v>
      </c>
      <c r="D7" s="2">
        <f aca="true" t="shared" si="0" ref="D7:D14">0.036*50^0.75</f>
        <v>0.6769085567555507</v>
      </c>
      <c r="E7" s="15">
        <f aca="true" t="shared" si="1" ref="E7:E14">0.12*M7*0.23</f>
        <v>16.974</v>
      </c>
      <c r="F7" s="4"/>
      <c r="G7" s="7">
        <v>7309</v>
      </c>
      <c r="H7" s="9">
        <f aca="true" t="shared" si="2" ref="H7:H14">(106*50^0.75)</f>
        <v>1993.1196393357884</v>
      </c>
      <c r="I7" s="9">
        <f aca="true" t="shared" si="3" ref="I7:I14">10.6*(M7*0.23)</f>
        <v>1499.3700000000001</v>
      </c>
      <c r="J7" s="16">
        <f aca="true" t="shared" si="4" ref="J7:J14">SUM(H7:I7)</f>
        <v>3492.4896393357885</v>
      </c>
      <c r="K7" s="17">
        <f aca="true" t="shared" si="5" ref="K7:K14">G7-J7</f>
        <v>3816.5103606642115</v>
      </c>
      <c r="L7" s="7">
        <v>988</v>
      </c>
      <c r="M7" s="7">
        <v>615</v>
      </c>
      <c r="N7" s="7">
        <v>313</v>
      </c>
      <c r="O7" s="7">
        <v>2150</v>
      </c>
      <c r="P7" s="7">
        <v>2.18</v>
      </c>
    </row>
    <row r="8" spans="1:16" ht="12.75">
      <c r="A8" s="7">
        <v>3</v>
      </c>
      <c r="B8" s="7">
        <v>340</v>
      </c>
      <c r="C8" s="1">
        <v>17.4</v>
      </c>
      <c r="D8" s="2">
        <f t="shared" si="0"/>
        <v>0.6769085567555507</v>
      </c>
      <c r="E8" s="15">
        <f t="shared" si="1"/>
        <v>16.7256</v>
      </c>
      <c r="F8" s="4"/>
      <c r="G8" s="7">
        <v>7309</v>
      </c>
      <c r="H8" s="9">
        <f t="shared" si="2"/>
        <v>1993.1196393357884</v>
      </c>
      <c r="I8" s="9">
        <f t="shared" si="3"/>
        <v>1477.4279999999999</v>
      </c>
      <c r="J8" s="16">
        <f t="shared" si="4"/>
        <v>3470.5476393357885</v>
      </c>
      <c r="K8" s="17">
        <f t="shared" si="5"/>
        <v>3838.4523606642115</v>
      </c>
      <c r="L8" s="7">
        <v>980</v>
      </c>
      <c r="M8" s="7">
        <v>606</v>
      </c>
      <c r="N8" s="7">
        <v>315</v>
      </c>
      <c r="O8" s="7">
        <v>2150</v>
      </c>
      <c r="P8" s="7">
        <v>2.19</v>
      </c>
    </row>
    <row r="9" spans="1:16" ht="12.75">
      <c r="A9" s="7">
        <v>4</v>
      </c>
      <c r="B9" s="7">
        <v>335</v>
      </c>
      <c r="C9" s="1">
        <v>17.16</v>
      </c>
      <c r="D9" s="2">
        <f t="shared" si="0"/>
        <v>0.6769085567555507</v>
      </c>
      <c r="E9" s="15">
        <f t="shared" si="1"/>
        <v>16.4772</v>
      </c>
      <c r="F9" s="4"/>
      <c r="G9" s="7">
        <v>7309</v>
      </c>
      <c r="H9" s="9">
        <f t="shared" si="2"/>
        <v>1993.1196393357884</v>
      </c>
      <c r="I9" s="9">
        <f t="shared" si="3"/>
        <v>1455.4859999999999</v>
      </c>
      <c r="J9" s="16">
        <f t="shared" si="4"/>
        <v>3448.6056393357885</v>
      </c>
      <c r="K9" s="17">
        <f t="shared" si="5"/>
        <v>3860.3943606642115</v>
      </c>
      <c r="L9" s="7">
        <v>973</v>
      </c>
      <c r="M9" s="7">
        <v>597</v>
      </c>
      <c r="N9" s="7">
        <v>317</v>
      </c>
      <c r="O9" s="7">
        <v>2150</v>
      </c>
      <c r="P9" s="7">
        <v>2.21</v>
      </c>
    </row>
    <row r="10" spans="1:16" ht="12.75">
      <c r="A10" s="7" t="s">
        <v>36</v>
      </c>
      <c r="B10" s="7">
        <v>330</v>
      </c>
      <c r="C10" s="1">
        <v>16.91</v>
      </c>
      <c r="D10" s="2">
        <f t="shared" si="0"/>
        <v>0.6769085567555507</v>
      </c>
      <c r="E10" s="15">
        <f t="shared" si="1"/>
        <v>16.2288</v>
      </c>
      <c r="F10" s="4">
        <f>(17.42/100)*(F17*1000)</f>
        <v>374.47876470588244</v>
      </c>
      <c r="G10" s="7">
        <v>7309</v>
      </c>
      <c r="H10" s="18">
        <f t="shared" si="2"/>
        <v>1993.1196393357884</v>
      </c>
      <c r="I10" s="18">
        <f t="shared" si="3"/>
        <v>1433.544</v>
      </c>
      <c r="J10" s="19">
        <f t="shared" si="4"/>
        <v>3426.6636393357885</v>
      </c>
      <c r="K10" s="17">
        <f t="shared" si="5"/>
        <v>3882.3363606642115</v>
      </c>
      <c r="L10" s="7">
        <v>965</v>
      </c>
      <c r="M10" s="7">
        <v>588</v>
      </c>
      <c r="N10" s="7">
        <v>319</v>
      </c>
      <c r="O10" s="7">
        <v>2150</v>
      </c>
      <c r="P10" s="7">
        <v>2.23</v>
      </c>
    </row>
    <row r="11" spans="1:16" ht="12.75">
      <c r="A11" s="7">
        <v>6</v>
      </c>
      <c r="B11" s="7">
        <v>325</v>
      </c>
      <c r="C11" s="1">
        <v>16.67</v>
      </c>
      <c r="D11" s="2">
        <f t="shared" si="0"/>
        <v>0.6769085567555507</v>
      </c>
      <c r="E11" s="15">
        <f t="shared" si="1"/>
        <v>15.980400000000001</v>
      </c>
      <c r="F11" s="4"/>
      <c r="G11" s="7">
        <v>7309</v>
      </c>
      <c r="H11" s="9">
        <f t="shared" si="2"/>
        <v>1993.1196393357884</v>
      </c>
      <c r="I11" s="9">
        <f t="shared" si="3"/>
        <v>1411.602</v>
      </c>
      <c r="J11" s="16">
        <f t="shared" si="4"/>
        <v>3404.7216393357885</v>
      </c>
      <c r="K11" s="17">
        <f t="shared" si="5"/>
        <v>3904.2783606642115</v>
      </c>
      <c r="L11" s="7">
        <v>958</v>
      </c>
      <c r="M11" s="7">
        <v>579</v>
      </c>
      <c r="N11" s="7">
        <v>321</v>
      </c>
      <c r="O11" s="7">
        <v>2150</v>
      </c>
      <c r="P11" s="7">
        <v>2.24</v>
      </c>
    </row>
    <row r="12" spans="1:16" ht="12.75">
      <c r="A12" s="7">
        <v>7</v>
      </c>
      <c r="B12" s="7">
        <v>320</v>
      </c>
      <c r="C12" s="1">
        <v>16.42</v>
      </c>
      <c r="D12" s="2">
        <f t="shared" si="0"/>
        <v>0.6769085567555507</v>
      </c>
      <c r="E12" s="15">
        <f t="shared" si="1"/>
        <v>15.732</v>
      </c>
      <c r="F12" s="4"/>
      <c r="G12" s="7">
        <v>7309</v>
      </c>
      <c r="H12" s="9">
        <f t="shared" si="2"/>
        <v>1993.1196393357884</v>
      </c>
      <c r="I12" s="9">
        <f t="shared" si="3"/>
        <v>1389.6599999999999</v>
      </c>
      <c r="J12" s="16">
        <f t="shared" si="4"/>
        <v>3382.7796393357885</v>
      </c>
      <c r="K12" s="17">
        <f t="shared" si="5"/>
        <v>3926.2203606642115</v>
      </c>
      <c r="L12" s="7">
        <v>950</v>
      </c>
      <c r="M12" s="7">
        <v>570</v>
      </c>
      <c r="N12" s="7">
        <v>323</v>
      </c>
      <c r="O12" s="7">
        <v>2150</v>
      </c>
      <c r="P12" s="7">
        <v>2.26</v>
      </c>
    </row>
    <row r="13" spans="1:16" ht="12.75">
      <c r="A13" s="7">
        <v>8</v>
      </c>
      <c r="B13" s="7">
        <v>315</v>
      </c>
      <c r="C13" s="1">
        <v>16.17</v>
      </c>
      <c r="D13" s="2">
        <f t="shared" si="0"/>
        <v>0.6769085567555507</v>
      </c>
      <c r="E13" s="15">
        <f t="shared" si="1"/>
        <v>15.4836</v>
      </c>
      <c r="F13" s="4"/>
      <c r="G13" s="7">
        <v>7309</v>
      </c>
      <c r="H13" s="9">
        <f t="shared" si="2"/>
        <v>1993.1196393357884</v>
      </c>
      <c r="I13" s="9">
        <f t="shared" si="3"/>
        <v>1367.718</v>
      </c>
      <c r="J13" s="16">
        <f t="shared" si="4"/>
        <v>3360.8376393357885</v>
      </c>
      <c r="K13" s="17">
        <f t="shared" si="5"/>
        <v>3948.1623606642115</v>
      </c>
      <c r="L13" s="7">
        <v>943</v>
      </c>
      <c r="M13" s="7">
        <v>561</v>
      </c>
      <c r="N13" s="7">
        <v>325</v>
      </c>
      <c r="O13" s="7">
        <v>2150</v>
      </c>
      <c r="P13" s="7">
        <v>2.28</v>
      </c>
    </row>
    <row r="14" spans="1:16" ht="12.75">
      <c r="A14" s="7">
        <v>9</v>
      </c>
      <c r="B14" s="7">
        <v>310</v>
      </c>
      <c r="C14" s="1">
        <v>15.93</v>
      </c>
      <c r="D14" s="2">
        <f t="shared" si="0"/>
        <v>0.6769085567555507</v>
      </c>
      <c r="E14" s="15">
        <f t="shared" si="1"/>
        <v>15.2628</v>
      </c>
      <c r="F14" s="4"/>
      <c r="G14" s="7">
        <v>7309</v>
      </c>
      <c r="H14" s="9">
        <f t="shared" si="2"/>
        <v>1993.1196393357884</v>
      </c>
      <c r="I14" s="9">
        <f t="shared" si="3"/>
        <v>1348.2140000000002</v>
      </c>
      <c r="J14" s="16">
        <f t="shared" si="4"/>
        <v>3341.3336393357886</v>
      </c>
      <c r="K14" s="17">
        <f t="shared" si="5"/>
        <v>3967.6663606642114</v>
      </c>
      <c r="L14" s="7">
        <v>936</v>
      </c>
      <c r="M14" s="7">
        <v>553</v>
      </c>
      <c r="N14" s="7">
        <v>327</v>
      </c>
      <c r="O14" s="7">
        <v>2150</v>
      </c>
      <c r="P14" s="7">
        <v>2.3</v>
      </c>
    </row>
    <row r="15" ht="12.75">
      <c r="E15" s="11" t="s">
        <v>31</v>
      </c>
    </row>
    <row r="16" spans="5:14" ht="12.75">
      <c r="E16" s="11" t="s">
        <v>28</v>
      </c>
      <c r="F16" s="9" t="s">
        <v>15</v>
      </c>
      <c r="N16" s="20"/>
    </row>
    <row r="17" spans="5:8" ht="12.75">
      <c r="E17" s="11" t="s">
        <v>29</v>
      </c>
      <c r="F17" s="9">
        <f>G10/3400</f>
        <v>2.1497058823529414</v>
      </c>
      <c r="H17" s="21"/>
    </row>
    <row r="18" spans="1:9" ht="12.75">
      <c r="A18" s="50" t="s">
        <v>14</v>
      </c>
      <c r="B18" s="50"/>
      <c r="C18" s="50"/>
      <c r="D18" s="50"/>
      <c r="E18" s="50"/>
      <c r="F18" s="50"/>
      <c r="H18" s="52"/>
      <c r="I18" s="52"/>
    </row>
    <row r="19" spans="3:18" ht="12.75">
      <c r="C19" s="22" t="s">
        <v>17</v>
      </c>
      <c r="D19" s="22"/>
      <c r="E19" s="23"/>
      <c r="F19" s="22"/>
      <c r="G19" s="22"/>
      <c r="H19" s="51"/>
      <c r="I19" s="51"/>
      <c r="J19" s="24" t="s">
        <v>18</v>
      </c>
      <c r="K19" s="24"/>
      <c r="L19" s="24"/>
      <c r="M19" s="24"/>
      <c r="N19" s="24"/>
      <c r="O19" s="24"/>
      <c r="P19" s="25" t="s">
        <v>22</v>
      </c>
      <c r="Q19" s="25"/>
      <c r="R19" s="25"/>
    </row>
    <row r="20" spans="1:18" ht="12.75">
      <c r="A20" s="26" t="s">
        <v>0</v>
      </c>
      <c r="B20" s="26" t="s">
        <v>1</v>
      </c>
      <c r="C20" s="27" t="s">
        <v>3</v>
      </c>
      <c r="D20" s="27" t="s">
        <v>4</v>
      </c>
      <c r="E20" s="28" t="s">
        <v>13</v>
      </c>
      <c r="F20" s="27" t="s">
        <v>20</v>
      </c>
      <c r="G20" s="27" t="s">
        <v>8</v>
      </c>
      <c r="H20" s="27" t="s">
        <v>30</v>
      </c>
      <c r="I20" s="27" t="s">
        <v>16</v>
      </c>
      <c r="J20" s="29" t="s">
        <v>3</v>
      </c>
      <c r="K20" s="29" t="s">
        <v>4</v>
      </c>
      <c r="L20" s="29" t="s">
        <v>25</v>
      </c>
      <c r="M20" s="30" t="s">
        <v>19</v>
      </c>
      <c r="N20" s="29" t="s">
        <v>21</v>
      </c>
      <c r="O20" s="29" t="s">
        <v>9</v>
      </c>
      <c r="P20" s="31" t="s">
        <v>23</v>
      </c>
      <c r="Q20" s="25" t="s">
        <v>24</v>
      </c>
      <c r="R20" s="31" t="s">
        <v>11</v>
      </c>
    </row>
    <row r="21" spans="1:18" ht="12.75">
      <c r="A21" s="7">
        <v>1</v>
      </c>
      <c r="B21" s="7">
        <v>350</v>
      </c>
      <c r="C21" s="1">
        <v>16.91</v>
      </c>
      <c r="D21" s="2">
        <f>0.036*$E$3^0.75</f>
        <v>0.6769085567555507</v>
      </c>
      <c r="E21" s="3">
        <f aca="true" t="shared" si="6" ref="E21:E29">C21-D21-E6</f>
        <v>-0.9893085567555495</v>
      </c>
      <c r="F21" s="4">
        <f aca="true" t="shared" si="7" ref="F21:F29">IF(((C21-D21)/0.12)&lt;(M6*0.23),((C21-D21)/0.12),(M6*0.23))</f>
        <v>135.2757620270371</v>
      </c>
      <c r="G21" s="5">
        <f>(F21/0.23)</f>
        <v>588.1554870740744</v>
      </c>
      <c r="H21" s="6">
        <f>((C21/(F$17*1000)*100)*15.51+5.22)*F17*1000/100</f>
        <v>374.48874705882344</v>
      </c>
      <c r="I21" s="5">
        <f>(H21-F21)/6.25</f>
        <v>38.274077605085814</v>
      </c>
      <c r="J21" s="7">
        <v>7309</v>
      </c>
      <c r="K21" s="8">
        <f>106*50^0.75</f>
        <v>1993.1196393357884</v>
      </c>
      <c r="L21" s="9">
        <f>F21*10.6</f>
        <v>1433.9230774865932</v>
      </c>
      <c r="M21" s="8">
        <f>J21-K21-L21</f>
        <v>3881.957283177618</v>
      </c>
      <c r="N21" s="9">
        <f>M21/12.5</f>
        <v>310.5565826542095</v>
      </c>
      <c r="O21" s="9">
        <f>N21/0.9</f>
        <v>345.0628696157883</v>
      </c>
      <c r="P21" s="8">
        <f>(G21+O21)/0.94</f>
        <v>992.7854858402795</v>
      </c>
      <c r="Q21" s="9">
        <f>J21/3400</f>
        <v>2.1497058823529414</v>
      </c>
      <c r="R21" s="9">
        <f>Q21*1000/P21</f>
        <v>2.1653276694848747</v>
      </c>
    </row>
    <row r="22" spans="1:18" ht="12.75">
      <c r="A22" s="7">
        <v>2</v>
      </c>
      <c r="B22" s="7">
        <v>345</v>
      </c>
      <c r="C22" s="1">
        <v>16.91</v>
      </c>
      <c r="D22" s="2">
        <f aca="true" t="shared" si="8" ref="D22:D29">0.036*$E$3^0.75</f>
        <v>0.6769085567555507</v>
      </c>
      <c r="E22" s="3">
        <f t="shared" si="6"/>
        <v>-0.7409085567555493</v>
      </c>
      <c r="F22" s="4">
        <f t="shared" si="7"/>
        <v>135.2757620270371</v>
      </c>
      <c r="G22" s="5">
        <f aca="true" t="shared" si="9" ref="G22:G29">(F22/0.23)</f>
        <v>588.1554870740744</v>
      </c>
      <c r="H22" s="6">
        <v>374.48874705882344</v>
      </c>
      <c r="I22" s="5">
        <f aca="true" t="shared" si="10" ref="I22:I29">(H22-F22)/6.25</f>
        <v>38.274077605085814</v>
      </c>
      <c r="J22" s="7">
        <v>7309</v>
      </c>
      <c r="K22" s="8">
        <f aca="true" t="shared" si="11" ref="K22:K29">106*50^0.75</f>
        <v>1993.1196393357884</v>
      </c>
      <c r="L22" s="9">
        <f aca="true" t="shared" si="12" ref="L22:L29">F22*10.6</f>
        <v>1433.9230774865932</v>
      </c>
      <c r="M22" s="8">
        <f aca="true" t="shared" si="13" ref="M22:M29">J22-K22-L22</f>
        <v>3881.957283177618</v>
      </c>
      <c r="N22" s="9">
        <f aca="true" t="shared" si="14" ref="N22:N29">M22/12.5</f>
        <v>310.5565826542095</v>
      </c>
      <c r="O22" s="9">
        <f aca="true" t="shared" si="15" ref="O22:O29">N22/0.9</f>
        <v>345.0628696157883</v>
      </c>
      <c r="P22" s="8">
        <f aca="true" t="shared" si="16" ref="P22:P29">(G22+O22)/0.94</f>
        <v>992.7854858402795</v>
      </c>
      <c r="Q22" s="9">
        <f aca="true" t="shared" si="17" ref="Q22:Q29">J22/3400</f>
        <v>2.1497058823529414</v>
      </c>
      <c r="R22" s="9">
        <f aca="true" t="shared" si="18" ref="R22:R29">Q22*1000/P22</f>
        <v>2.1653276694848747</v>
      </c>
    </row>
    <row r="23" spans="1:18" ht="12.75">
      <c r="A23" s="7">
        <v>3</v>
      </c>
      <c r="B23" s="7">
        <v>340</v>
      </c>
      <c r="C23" s="1">
        <v>16.91</v>
      </c>
      <c r="D23" s="2">
        <f t="shared" si="8"/>
        <v>0.6769085567555507</v>
      </c>
      <c r="E23" s="3">
        <f t="shared" si="6"/>
        <v>-0.49250855675554917</v>
      </c>
      <c r="F23" s="4">
        <f t="shared" si="7"/>
        <v>135.2757620270371</v>
      </c>
      <c r="G23" s="5">
        <f t="shared" si="9"/>
        <v>588.1554870740744</v>
      </c>
      <c r="H23" s="6">
        <v>374.48874705882344</v>
      </c>
      <c r="I23" s="5">
        <f t="shared" si="10"/>
        <v>38.274077605085814</v>
      </c>
      <c r="J23" s="7">
        <v>7309</v>
      </c>
      <c r="K23" s="8">
        <f t="shared" si="11"/>
        <v>1993.1196393357884</v>
      </c>
      <c r="L23" s="9">
        <f t="shared" si="12"/>
        <v>1433.9230774865932</v>
      </c>
      <c r="M23" s="8">
        <f t="shared" si="13"/>
        <v>3881.957283177618</v>
      </c>
      <c r="N23" s="9">
        <f t="shared" si="14"/>
        <v>310.5565826542095</v>
      </c>
      <c r="O23" s="9">
        <f t="shared" si="15"/>
        <v>345.0628696157883</v>
      </c>
      <c r="P23" s="8">
        <f t="shared" si="16"/>
        <v>992.7854858402795</v>
      </c>
      <c r="Q23" s="9">
        <f t="shared" si="17"/>
        <v>2.1497058823529414</v>
      </c>
      <c r="R23" s="9">
        <f t="shared" si="18"/>
        <v>2.1653276694848747</v>
      </c>
    </row>
    <row r="24" spans="1:18" ht="12.75">
      <c r="A24" s="7">
        <v>4</v>
      </c>
      <c r="B24" s="7">
        <v>335</v>
      </c>
      <c r="C24" s="1">
        <v>16.91</v>
      </c>
      <c r="D24" s="2">
        <f t="shared" si="8"/>
        <v>0.6769085567555507</v>
      </c>
      <c r="E24" s="3">
        <f t="shared" si="6"/>
        <v>-0.244108556755549</v>
      </c>
      <c r="F24" s="4">
        <f t="shared" si="7"/>
        <v>135.2757620270371</v>
      </c>
      <c r="G24" s="5">
        <f t="shared" si="9"/>
        <v>588.1554870740744</v>
      </c>
      <c r="H24" s="6">
        <v>374.48874705882344</v>
      </c>
      <c r="I24" s="5">
        <f t="shared" si="10"/>
        <v>38.274077605085814</v>
      </c>
      <c r="J24" s="7">
        <v>7309</v>
      </c>
      <c r="K24" s="8">
        <f t="shared" si="11"/>
        <v>1993.1196393357884</v>
      </c>
      <c r="L24" s="9">
        <f t="shared" si="12"/>
        <v>1433.9230774865932</v>
      </c>
      <c r="M24" s="8">
        <f t="shared" si="13"/>
        <v>3881.957283177618</v>
      </c>
      <c r="N24" s="9">
        <f t="shared" si="14"/>
        <v>310.5565826542095</v>
      </c>
      <c r="O24" s="9">
        <f t="shared" si="15"/>
        <v>345.0628696157883</v>
      </c>
      <c r="P24" s="8">
        <f t="shared" si="16"/>
        <v>992.7854858402795</v>
      </c>
      <c r="Q24" s="9">
        <f t="shared" si="17"/>
        <v>2.1497058823529414</v>
      </c>
      <c r="R24" s="9">
        <f t="shared" si="18"/>
        <v>2.1653276694848747</v>
      </c>
    </row>
    <row r="25" spans="1:18" s="38" customFormat="1" ht="12.75">
      <c r="A25" s="26">
        <v>5</v>
      </c>
      <c r="B25" s="26">
        <v>330</v>
      </c>
      <c r="C25" s="32">
        <v>16.91</v>
      </c>
      <c r="D25" s="33">
        <f t="shared" si="8"/>
        <v>0.6769085567555507</v>
      </c>
      <c r="E25" s="3">
        <f t="shared" si="6"/>
        <v>0.004291443244451187</v>
      </c>
      <c r="F25" s="34">
        <f t="shared" si="7"/>
        <v>135.24</v>
      </c>
      <c r="G25" s="35">
        <f t="shared" si="9"/>
        <v>588</v>
      </c>
      <c r="H25" s="36">
        <v>374.48874705882344</v>
      </c>
      <c r="I25" s="35">
        <f t="shared" si="10"/>
        <v>38.27979952941175</v>
      </c>
      <c r="J25" s="26">
        <v>7309</v>
      </c>
      <c r="K25" s="37">
        <f t="shared" si="11"/>
        <v>1993.1196393357884</v>
      </c>
      <c r="L25" s="38">
        <f t="shared" si="12"/>
        <v>1433.544</v>
      </c>
      <c r="M25" s="37">
        <f t="shared" si="13"/>
        <v>3882.3363606642115</v>
      </c>
      <c r="N25" s="38">
        <f t="shared" si="14"/>
        <v>310.58690885313695</v>
      </c>
      <c r="O25" s="38">
        <f t="shared" si="15"/>
        <v>345.0965653923744</v>
      </c>
      <c r="P25" s="37">
        <f t="shared" si="16"/>
        <v>992.6559206301855</v>
      </c>
      <c r="Q25" s="38">
        <f t="shared" si="17"/>
        <v>2.1497058823529414</v>
      </c>
      <c r="R25" s="38">
        <f t="shared" si="18"/>
        <v>2.1656102962527086</v>
      </c>
    </row>
    <row r="26" spans="1:18" ht="12.75">
      <c r="A26" s="7">
        <v>6</v>
      </c>
      <c r="B26" s="7">
        <v>325</v>
      </c>
      <c r="C26" s="1">
        <v>16.91</v>
      </c>
      <c r="D26" s="2">
        <f t="shared" si="8"/>
        <v>0.6769085567555507</v>
      </c>
      <c r="E26" s="3">
        <f t="shared" si="6"/>
        <v>0.2526914432444496</v>
      </c>
      <c r="F26" s="4">
        <f t="shared" si="7"/>
        <v>133.17000000000002</v>
      </c>
      <c r="G26" s="5">
        <f t="shared" si="9"/>
        <v>579</v>
      </c>
      <c r="H26" s="6">
        <v>374.48874705882344</v>
      </c>
      <c r="I26" s="5">
        <f t="shared" si="10"/>
        <v>38.61099952941175</v>
      </c>
      <c r="J26" s="7">
        <v>7309</v>
      </c>
      <c r="K26" s="8">
        <f t="shared" si="11"/>
        <v>1993.1196393357884</v>
      </c>
      <c r="L26" s="9">
        <f t="shared" si="12"/>
        <v>1411.602</v>
      </c>
      <c r="M26" s="8">
        <f t="shared" si="13"/>
        <v>3904.2783606642115</v>
      </c>
      <c r="N26" s="9">
        <f t="shared" si="14"/>
        <v>312.34226885313694</v>
      </c>
      <c r="O26" s="9">
        <f t="shared" si="15"/>
        <v>347.0469653923744</v>
      </c>
      <c r="P26" s="8">
        <f t="shared" si="16"/>
        <v>985.1563461621005</v>
      </c>
      <c r="Q26" s="9">
        <f t="shared" si="17"/>
        <v>2.1497058823529414</v>
      </c>
      <c r="R26" s="9">
        <f t="shared" si="18"/>
        <v>2.182096162429047</v>
      </c>
    </row>
    <row r="27" spans="1:18" ht="12.75">
      <c r="A27" s="7">
        <v>7</v>
      </c>
      <c r="B27" s="7">
        <v>320</v>
      </c>
      <c r="C27" s="1">
        <v>16.91</v>
      </c>
      <c r="D27" s="2">
        <f t="shared" si="8"/>
        <v>0.6769085567555507</v>
      </c>
      <c r="E27" s="3">
        <f t="shared" si="6"/>
        <v>0.5010914432444515</v>
      </c>
      <c r="F27" s="4">
        <f t="shared" si="7"/>
        <v>131.1</v>
      </c>
      <c r="G27" s="5">
        <f t="shared" si="9"/>
        <v>570</v>
      </c>
      <c r="H27" s="6">
        <v>374.48874705882344</v>
      </c>
      <c r="I27" s="5">
        <f t="shared" si="10"/>
        <v>38.94219952941175</v>
      </c>
      <c r="J27" s="7">
        <v>7309</v>
      </c>
      <c r="K27" s="8">
        <f t="shared" si="11"/>
        <v>1993.1196393357884</v>
      </c>
      <c r="L27" s="9">
        <f t="shared" si="12"/>
        <v>1389.6599999999999</v>
      </c>
      <c r="M27" s="8">
        <f t="shared" si="13"/>
        <v>3926.2203606642115</v>
      </c>
      <c r="N27" s="9">
        <f t="shared" si="14"/>
        <v>314.09762885313694</v>
      </c>
      <c r="O27" s="9">
        <f t="shared" si="15"/>
        <v>348.9973653923744</v>
      </c>
      <c r="P27" s="8">
        <f t="shared" si="16"/>
        <v>977.6567716940153</v>
      </c>
      <c r="Q27" s="9">
        <f t="shared" si="17"/>
        <v>2.1497058823529414</v>
      </c>
      <c r="R27" s="9">
        <f t="shared" si="18"/>
        <v>2.19883495373134</v>
      </c>
    </row>
    <row r="28" spans="1:18" ht="12.75">
      <c r="A28" s="7">
        <v>8</v>
      </c>
      <c r="B28" s="7">
        <v>315</v>
      </c>
      <c r="C28" s="1">
        <v>16.91</v>
      </c>
      <c r="D28" s="2">
        <f t="shared" si="8"/>
        <v>0.6769085567555507</v>
      </c>
      <c r="E28" s="3">
        <f t="shared" si="6"/>
        <v>0.7494914432444517</v>
      </c>
      <c r="F28" s="4">
        <f t="shared" si="7"/>
        <v>129.03</v>
      </c>
      <c r="G28" s="5">
        <f t="shared" si="9"/>
        <v>561</v>
      </c>
      <c r="H28" s="6">
        <v>374.48874705882344</v>
      </c>
      <c r="I28" s="5">
        <f t="shared" si="10"/>
        <v>39.27339952941175</v>
      </c>
      <c r="J28" s="7">
        <v>7309</v>
      </c>
      <c r="K28" s="8">
        <f t="shared" si="11"/>
        <v>1993.1196393357884</v>
      </c>
      <c r="L28" s="9">
        <f t="shared" si="12"/>
        <v>1367.718</v>
      </c>
      <c r="M28" s="8">
        <f t="shared" si="13"/>
        <v>3948.1623606642115</v>
      </c>
      <c r="N28" s="9">
        <f t="shared" si="14"/>
        <v>315.85298885313694</v>
      </c>
      <c r="O28" s="9">
        <f t="shared" si="15"/>
        <v>350.9477653923744</v>
      </c>
      <c r="P28" s="8">
        <f t="shared" si="16"/>
        <v>970.1571972259302</v>
      </c>
      <c r="Q28" s="9">
        <f t="shared" si="17"/>
        <v>2.1497058823529414</v>
      </c>
      <c r="R28" s="9">
        <f t="shared" si="18"/>
        <v>2.215832535696087</v>
      </c>
    </row>
    <row r="29" spans="1:20" ht="12.75">
      <c r="A29" s="7">
        <v>9</v>
      </c>
      <c r="B29" s="7">
        <v>310</v>
      </c>
      <c r="C29" s="1">
        <v>16.91</v>
      </c>
      <c r="D29" s="2">
        <f t="shared" si="8"/>
        <v>0.6769085567555507</v>
      </c>
      <c r="E29" s="3">
        <f t="shared" si="6"/>
        <v>0.9702914432444505</v>
      </c>
      <c r="F29" s="4">
        <f t="shared" si="7"/>
        <v>127.19000000000001</v>
      </c>
      <c r="G29" s="5">
        <f t="shared" si="9"/>
        <v>553</v>
      </c>
      <c r="H29" s="6">
        <v>374.48874705882344</v>
      </c>
      <c r="I29" s="5">
        <f t="shared" si="10"/>
        <v>39.56779952941175</v>
      </c>
      <c r="J29" s="7">
        <v>7309</v>
      </c>
      <c r="K29" s="8">
        <f t="shared" si="11"/>
        <v>1993.1196393357884</v>
      </c>
      <c r="L29" s="9">
        <f t="shared" si="12"/>
        <v>1348.2140000000002</v>
      </c>
      <c r="M29" s="8">
        <f t="shared" si="13"/>
        <v>3967.6663606642114</v>
      </c>
      <c r="N29" s="9">
        <f t="shared" si="14"/>
        <v>317.4133088531369</v>
      </c>
      <c r="O29" s="9">
        <f t="shared" si="15"/>
        <v>352.68145428126326</v>
      </c>
      <c r="P29" s="8">
        <f t="shared" si="16"/>
        <v>963.4909088098547</v>
      </c>
      <c r="Q29" s="9">
        <f t="shared" si="17"/>
        <v>2.1497058823529414</v>
      </c>
      <c r="R29" s="9">
        <f t="shared" si="18"/>
        <v>2.231163639113472</v>
      </c>
      <c r="T29" s="9" t="s">
        <v>26</v>
      </c>
    </row>
    <row r="30" spans="1:20" s="39" customFormat="1" ht="12.75">
      <c r="A30" s="39" t="s">
        <v>27</v>
      </c>
      <c r="B30" s="40"/>
      <c r="C30" s="40">
        <f aca="true" t="shared" si="19" ref="C30:R30">AVERAGE(C21:C29)</f>
        <v>16.91</v>
      </c>
      <c r="D30" s="41">
        <f t="shared" si="19"/>
        <v>0.6769085567555508</v>
      </c>
      <c r="E30" s="41">
        <f t="shared" si="19"/>
        <v>0.0012247765777841676</v>
      </c>
      <c r="F30" s="40">
        <f t="shared" si="19"/>
        <v>132.98144978979428</v>
      </c>
      <c r="G30" s="40">
        <f t="shared" si="19"/>
        <v>578.1802164773663</v>
      </c>
      <c r="H30" s="40">
        <f t="shared" si="19"/>
        <v>374.4887470588234</v>
      </c>
      <c r="I30" s="40">
        <f t="shared" si="19"/>
        <v>38.64116756304466</v>
      </c>
      <c r="J30" s="40">
        <f t="shared" si="19"/>
        <v>7309</v>
      </c>
      <c r="K30" s="40">
        <f t="shared" si="19"/>
        <v>1993.1196393357884</v>
      </c>
      <c r="L30" s="40">
        <f t="shared" si="19"/>
        <v>1409.6033677718194</v>
      </c>
      <c r="M30" s="40">
        <f t="shared" si="19"/>
        <v>3906.276992892392</v>
      </c>
      <c r="N30" s="40">
        <f t="shared" si="19"/>
        <v>312.5021594313914</v>
      </c>
      <c r="O30" s="40">
        <f t="shared" si="19"/>
        <v>347.2246215904349</v>
      </c>
      <c r="P30" s="40">
        <f t="shared" si="19"/>
        <v>984.4732319870226</v>
      </c>
      <c r="Q30" s="40">
        <f t="shared" si="19"/>
        <v>2.1497058823529414</v>
      </c>
      <c r="R30" s="40">
        <f t="shared" si="19"/>
        <v>2.183872029462462</v>
      </c>
      <c r="S30" s="40"/>
      <c r="T30" s="39">
        <f>G30/P30*100</f>
        <v>58.729907293709736</v>
      </c>
    </row>
    <row r="33" spans="2:7" ht="12.75">
      <c r="B33" s="50" t="s">
        <v>33</v>
      </c>
      <c r="C33" s="50"/>
      <c r="D33" s="50"/>
      <c r="E33" s="50"/>
      <c r="F33" s="50"/>
      <c r="G33" s="50"/>
    </row>
    <row r="34" spans="3:18" ht="12.75">
      <c r="C34" s="22" t="s">
        <v>17</v>
      </c>
      <c r="D34" s="22"/>
      <c r="E34" s="23"/>
      <c r="F34" s="22"/>
      <c r="G34" s="22"/>
      <c r="H34" s="51"/>
      <c r="I34" s="51"/>
      <c r="J34" s="24" t="s">
        <v>18</v>
      </c>
      <c r="K34" s="24"/>
      <c r="L34" s="24"/>
      <c r="M34" s="24"/>
      <c r="N34" s="24"/>
      <c r="O34" s="24"/>
      <c r="P34" s="25" t="s">
        <v>22</v>
      </c>
      <c r="Q34" s="25"/>
      <c r="R34" s="25"/>
    </row>
    <row r="35" spans="1:18" ht="12.75">
      <c r="A35" s="26" t="s">
        <v>0</v>
      </c>
      <c r="B35" s="26" t="s">
        <v>1</v>
      </c>
      <c r="C35" s="27" t="s">
        <v>3</v>
      </c>
      <c r="D35" s="27" t="s">
        <v>4</v>
      </c>
      <c r="E35" s="28" t="s">
        <v>13</v>
      </c>
      <c r="F35" s="27" t="s">
        <v>20</v>
      </c>
      <c r="G35" s="27" t="s">
        <v>8</v>
      </c>
      <c r="H35" s="27" t="s">
        <v>30</v>
      </c>
      <c r="I35" s="27" t="s">
        <v>16</v>
      </c>
      <c r="J35" s="29" t="s">
        <v>3</v>
      </c>
      <c r="K35" s="29" t="s">
        <v>4</v>
      </c>
      <c r="L35" s="29" t="s">
        <v>25</v>
      </c>
      <c r="M35" s="30" t="s">
        <v>19</v>
      </c>
      <c r="N35" s="29" t="s">
        <v>21</v>
      </c>
      <c r="O35" s="29" t="s">
        <v>9</v>
      </c>
      <c r="P35" s="31" t="s">
        <v>23</v>
      </c>
      <c r="Q35" s="25" t="s">
        <v>24</v>
      </c>
      <c r="R35" s="31" t="s">
        <v>11</v>
      </c>
    </row>
    <row r="36" spans="1:18" ht="12.75">
      <c r="A36" s="7">
        <v>1</v>
      </c>
      <c r="B36" s="7">
        <v>350</v>
      </c>
      <c r="C36" s="1">
        <v>17.9</v>
      </c>
      <c r="D36" s="2">
        <f>0.036*$E$3^0.75</f>
        <v>0.6769085567555507</v>
      </c>
      <c r="E36" s="3">
        <f>C36-D37-E6</f>
        <v>0.0006914432444489194</v>
      </c>
      <c r="F36" s="4">
        <f>IF(((C36-D360)/0.12)&lt;(M6*0.23),((C36-D36/0.12)/0.12),(M6*0.23))</f>
        <v>143.52</v>
      </c>
      <c r="G36" s="5">
        <f>F36/0.23</f>
        <v>624</v>
      </c>
      <c r="H36" s="6">
        <f>((C36/(F$17*1000)*100)*15.51+5.22)*F17*1000/100</f>
        <v>389.8436470588235</v>
      </c>
      <c r="I36" s="5">
        <f>(H36-F36)/6.25</f>
        <v>39.41178352941176</v>
      </c>
      <c r="J36" s="7">
        <v>7309</v>
      </c>
      <c r="K36" s="8">
        <f>106*$E$3^0.75</f>
        <v>1993.1196393357884</v>
      </c>
      <c r="L36" s="9">
        <f>F36*10.6</f>
        <v>1521.3120000000001</v>
      </c>
      <c r="M36" s="8">
        <f>J36-K36-L36</f>
        <v>3794.5683606642115</v>
      </c>
      <c r="N36" s="9">
        <f>M36/12.5</f>
        <v>303.5654688531369</v>
      </c>
      <c r="O36" s="9">
        <f>N36/0.9</f>
        <v>337.2949653923743</v>
      </c>
      <c r="P36" s="8">
        <f>(G36+O36)/0.94</f>
        <v>1022.6542185025259</v>
      </c>
      <c r="Q36" s="9">
        <f>J36/3400</f>
        <v>2.1497058823529414</v>
      </c>
      <c r="R36" s="9">
        <f>Q36*1000/P36</f>
        <v>2.102084794116196</v>
      </c>
    </row>
    <row r="37" spans="1:18" ht="12.75">
      <c r="A37" s="7">
        <v>2</v>
      </c>
      <c r="B37" s="7">
        <v>345</v>
      </c>
      <c r="C37" s="1">
        <v>17.9</v>
      </c>
      <c r="D37" s="2">
        <f aca="true" t="shared" si="20" ref="D37:D44">0.036*$E$3^0.75</f>
        <v>0.6769085567555507</v>
      </c>
      <c r="E37" s="3">
        <f>C37-D37-E7</f>
        <v>0.2490914432444491</v>
      </c>
      <c r="F37" s="4">
        <f aca="true" t="shared" si="21" ref="F37:F44">IF(((C37-D361)/0.12)&lt;(M7*0.23),((C37-D37/0.12)/0.12),(M7*0.23))</f>
        <v>141.45000000000002</v>
      </c>
      <c r="G37" s="5">
        <f aca="true" t="shared" si="22" ref="G37:G44">F37/0.23</f>
        <v>615</v>
      </c>
      <c r="H37" s="6">
        <v>389.8436470588235</v>
      </c>
      <c r="I37" s="5">
        <f aca="true" t="shared" si="23" ref="I37:I44">(H37-F37)/6.25</f>
        <v>39.74298352941175</v>
      </c>
      <c r="J37" s="7">
        <v>7309</v>
      </c>
      <c r="K37" s="8">
        <f aca="true" t="shared" si="24" ref="K37:K44">106*$E$3^0.75</f>
        <v>1993.1196393357884</v>
      </c>
      <c r="L37" s="9">
        <f aca="true" t="shared" si="25" ref="L37:L44">F37*10.6</f>
        <v>1499.3700000000001</v>
      </c>
      <c r="M37" s="8">
        <f aca="true" t="shared" si="26" ref="M37:M44">J37-K37-L37</f>
        <v>3816.5103606642115</v>
      </c>
      <c r="N37" s="9">
        <f aca="true" t="shared" si="27" ref="N37:N44">M37/12.5</f>
        <v>305.3208288531369</v>
      </c>
      <c r="O37" s="9">
        <f aca="true" t="shared" si="28" ref="O37:O44">N37/0.9</f>
        <v>339.2453653923743</v>
      </c>
      <c r="P37" s="8">
        <f aca="true" t="shared" si="29" ref="P37:P44">(G37+O37)/0.94</f>
        <v>1015.1546440344408</v>
      </c>
      <c r="Q37" s="9">
        <f aca="true" t="shared" si="30" ref="Q37:Q44">J37/3400</f>
        <v>2.1497058823529414</v>
      </c>
      <c r="R37" s="9">
        <f aca="true" t="shared" si="31" ref="R37:R44">Q37*1000/P37</f>
        <v>2.1176141930549144</v>
      </c>
    </row>
    <row r="38" spans="1:18" ht="12.75">
      <c r="A38" s="7">
        <v>3</v>
      </c>
      <c r="B38" s="7">
        <v>340</v>
      </c>
      <c r="C38" s="1">
        <v>17.9</v>
      </c>
      <c r="D38" s="2">
        <f t="shared" si="20"/>
        <v>0.6769085567555507</v>
      </c>
      <c r="E38" s="3">
        <f>C38-D39-E8</f>
        <v>0.49749144324444927</v>
      </c>
      <c r="F38" s="4">
        <f t="shared" si="21"/>
        <v>139.38</v>
      </c>
      <c r="G38" s="5">
        <f t="shared" si="22"/>
        <v>606</v>
      </c>
      <c r="H38" s="6">
        <v>389.8436470588235</v>
      </c>
      <c r="I38" s="5">
        <f t="shared" si="23"/>
        <v>40.074183529411755</v>
      </c>
      <c r="J38" s="7">
        <v>7309</v>
      </c>
      <c r="K38" s="8">
        <f t="shared" si="24"/>
        <v>1993.1196393357884</v>
      </c>
      <c r="L38" s="9">
        <f t="shared" si="25"/>
        <v>1477.4279999999999</v>
      </c>
      <c r="M38" s="8">
        <f t="shared" si="26"/>
        <v>3838.4523606642115</v>
      </c>
      <c r="N38" s="9">
        <f t="shared" si="27"/>
        <v>307.0761888531369</v>
      </c>
      <c r="O38" s="9">
        <f t="shared" si="28"/>
        <v>341.1957653923743</v>
      </c>
      <c r="P38" s="8">
        <f t="shared" si="29"/>
        <v>1007.6550695663558</v>
      </c>
      <c r="Q38" s="9">
        <f t="shared" si="30"/>
        <v>2.1497058823529414</v>
      </c>
      <c r="R38" s="9">
        <f t="shared" si="31"/>
        <v>2.1333747502288327</v>
      </c>
    </row>
    <row r="39" spans="1:18" ht="12.75">
      <c r="A39" s="7">
        <v>4</v>
      </c>
      <c r="B39" s="7">
        <v>335</v>
      </c>
      <c r="C39" s="1">
        <v>17.9</v>
      </c>
      <c r="D39" s="2">
        <f t="shared" si="20"/>
        <v>0.6769085567555507</v>
      </c>
      <c r="E39" s="3">
        <f>C39-D39-E9</f>
        <v>0.7458914432444494</v>
      </c>
      <c r="F39" s="4">
        <f t="shared" si="21"/>
        <v>137.31</v>
      </c>
      <c r="G39" s="5">
        <f t="shared" si="22"/>
        <v>597</v>
      </c>
      <c r="H39" s="6">
        <v>389.8436470588235</v>
      </c>
      <c r="I39" s="5">
        <f t="shared" si="23"/>
        <v>40.40538352941176</v>
      </c>
      <c r="J39" s="7">
        <v>7309</v>
      </c>
      <c r="K39" s="8">
        <f t="shared" si="24"/>
        <v>1993.1196393357884</v>
      </c>
      <c r="L39" s="9">
        <f t="shared" si="25"/>
        <v>1455.4859999999999</v>
      </c>
      <c r="M39" s="8">
        <f t="shared" si="26"/>
        <v>3860.3943606642115</v>
      </c>
      <c r="N39" s="9">
        <f t="shared" si="27"/>
        <v>308.8315488531369</v>
      </c>
      <c r="O39" s="9">
        <f t="shared" si="28"/>
        <v>343.1461653923743</v>
      </c>
      <c r="P39" s="8">
        <f t="shared" si="29"/>
        <v>1000.1554950982706</v>
      </c>
      <c r="Q39" s="9">
        <f t="shared" si="30"/>
        <v>2.1497058823529414</v>
      </c>
      <c r="R39" s="9">
        <f t="shared" si="31"/>
        <v>2.14937166559458</v>
      </c>
    </row>
    <row r="40" spans="1:18" ht="12.75">
      <c r="A40" s="26">
        <v>5</v>
      </c>
      <c r="B40" s="26">
        <v>330</v>
      </c>
      <c r="C40" s="1">
        <v>17.9</v>
      </c>
      <c r="D40" s="2">
        <f t="shared" si="20"/>
        <v>0.6769085567555507</v>
      </c>
      <c r="E40" s="3">
        <f>C40-D41-E10</f>
        <v>0.9942914432444496</v>
      </c>
      <c r="F40" s="4">
        <f t="shared" si="21"/>
        <v>135.24</v>
      </c>
      <c r="G40" s="5">
        <f t="shared" si="22"/>
        <v>588</v>
      </c>
      <c r="H40" s="6">
        <v>389.8436470588235</v>
      </c>
      <c r="I40" s="5">
        <f t="shared" si="23"/>
        <v>40.73658352941175</v>
      </c>
      <c r="J40" s="7">
        <v>7309</v>
      </c>
      <c r="K40" s="8">
        <f t="shared" si="24"/>
        <v>1993.1196393357884</v>
      </c>
      <c r="L40" s="9">
        <f t="shared" si="25"/>
        <v>1433.544</v>
      </c>
      <c r="M40" s="8">
        <f t="shared" si="26"/>
        <v>3882.3363606642115</v>
      </c>
      <c r="N40" s="9">
        <f t="shared" si="27"/>
        <v>310.58690885313695</v>
      </c>
      <c r="O40" s="9">
        <f t="shared" si="28"/>
        <v>345.0965653923744</v>
      </c>
      <c r="P40" s="8">
        <f t="shared" si="29"/>
        <v>992.6559206301855</v>
      </c>
      <c r="Q40" s="9">
        <f t="shared" si="30"/>
        <v>2.1497058823529414</v>
      </c>
      <c r="R40" s="9">
        <f t="shared" si="31"/>
        <v>2.1656102962527086</v>
      </c>
    </row>
    <row r="41" spans="1:18" ht="12.75">
      <c r="A41" s="7">
        <v>6</v>
      </c>
      <c r="B41" s="7">
        <v>325</v>
      </c>
      <c r="C41" s="1">
        <v>17.9</v>
      </c>
      <c r="D41" s="2">
        <f t="shared" si="20"/>
        <v>0.6769085567555507</v>
      </c>
      <c r="E41" s="3">
        <f>C41-D41-E11</f>
        <v>1.242691443244448</v>
      </c>
      <c r="F41" s="4">
        <f t="shared" si="21"/>
        <v>133.17000000000002</v>
      </c>
      <c r="G41" s="5">
        <f t="shared" si="22"/>
        <v>579</v>
      </c>
      <c r="H41" s="6">
        <v>389.8436470588235</v>
      </c>
      <c r="I41" s="5">
        <f t="shared" si="23"/>
        <v>41.067783529411756</v>
      </c>
      <c r="J41" s="7">
        <v>7309</v>
      </c>
      <c r="K41" s="8">
        <f t="shared" si="24"/>
        <v>1993.1196393357884</v>
      </c>
      <c r="L41" s="9">
        <f t="shared" si="25"/>
        <v>1411.602</v>
      </c>
      <c r="M41" s="8">
        <f t="shared" si="26"/>
        <v>3904.2783606642115</v>
      </c>
      <c r="N41" s="9">
        <f t="shared" si="27"/>
        <v>312.34226885313694</v>
      </c>
      <c r="O41" s="9">
        <f t="shared" si="28"/>
        <v>347.0469653923744</v>
      </c>
      <c r="P41" s="8">
        <f t="shared" si="29"/>
        <v>985.1563461621005</v>
      </c>
      <c r="Q41" s="9">
        <f t="shared" si="30"/>
        <v>2.1497058823529414</v>
      </c>
      <c r="R41" s="9">
        <f t="shared" si="31"/>
        <v>2.182096162429047</v>
      </c>
    </row>
    <row r="42" spans="1:18" ht="12.75">
      <c r="A42" s="7">
        <v>7</v>
      </c>
      <c r="B42" s="7">
        <v>320</v>
      </c>
      <c r="C42" s="1">
        <v>17.9</v>
      </c>
      <c r="D42" s="2">
        <f t="shared" si="20"/>
        <v>0.6769085567555507</v>
      </c>
      <c r="E42" s="3">
        <f>C42-D43-E12</f>
        <v>1.49109144324445</v>
      </c>
      <c r="F42" s="4">
        <f t="shared" si="21"/>
        <v>131.1</v>
      </c>
      <c r="G42" s="5">
        <f t="shared" si="22"/>
        <v>570</v>
      </c>
      <c r="H42" s="6">
        <v>389.8436470588235</v>
      </c>
      <c r="I42" s="5">
        <f t="shared" si="23"/>
        <v>41.398983529411765</v>
      </c>
      <c r="J42" s="7">
        <v>7309</v>
      </c>
      <c r="K42" s="8">
        <f t="shared" si="24"/>
        <v>1993.1196393357884</v>
      </c>
      <c r="L42" s="9">
        <f t="shared" si="25"/>
        <v>1389.6599999999999</v>
      </c>
      <c r="M42" s="8">
        <f t="shared" si="26"/>
        <v>3926.2203606642115</v>
      </c>
      <c r="N42" s="9">
        <f t="shared" si="27"/>
        <v>314.09762885313694</v>
      </c>
      <c r="O42" s="9">
        <f t="shared" si="28"/>
        <v>348.9973653923744</v>
      </c>
      <c r="P42" s="8">
        <f t="shared" si="29"/>
        <v>977.6567716940153</v>
      </c>
      <c r="Q42" s="9">
        <f t="shared" si="30"/>
        <v>2.1497058823529414</v>
      </c>
      <c r="R42" s="9">
        <f t="shared" si="31"/>
        <v>2.19883495373134</v>
      </c>
    </row>
    <row r="43" spans="1:18" ht="12.75">
      <c r="A43" s="7">
        <v>8</v>
      </c>
      <c r="B43" s="7">
        <v>315</v>
      </c>
      <c r="C43" s="1">
        <v>17.9</v>
      </c>
      <c r="D43" s="2">
        <f t="shared" si="20"/>
        <v>0.6769085567555507</v>
      </c>
      <c r="E43" s="3">
        <f>C43-D43-E13</f>
        <v>1.7394914432444502</v>
      </c>
      <c r="F43" s="4">
        <f t="shared" si="21"/>
        <v>129.03</v>
      </c>
      <c r="G43" s="5">
        <f t="shared" si="22"/>
        <v>561</v>
      </c>
      <c r="H43" s="6">
        <v>389.8436470588235</v>
      </c>
      <c r="I43" s="5">
        <f t="shared" si="23"/>
        <v>41.730183529411754</v>
      </c>
      <c r="J43" s="7">
        <v>7309</v>
      </c>
      <c r="K43" s="8">
        <f t="shared" si="24"/>
        <v>1993.1196393357884</v>
      </c>
      <c r="L43" s="9">
        <f t="shared" si="25"/>
        <v>1367.718</v>
      </c>
      <c r="M43" s="8">
        <f t="shared" si="26"/>
        <v>3948.1623606642115</v>
      </c>
      <c r="N43" s="9">
        <f t="shared" si="27"/>
        <v>315.85298885313694</v>
      </c>
      <c r="O43" s="9">
        <f t="shared" si="28"/>
        <v>350.9477653923744</v>
      </c>
      <c r="P43" s="8">
        <f t="shared" si="29"/>
        <v>970.1571972259302</v>
      </c>
      <c r="Q43" s="9">
        <f t="shared" si="30"/>
        <v>2.1497058823529414</v>
      </c>
      <c r="R43" s="9">
        <f t="shared" si="31"/>
        <v>2.215832535696087</v>
      </c>
    </row>
    <row r="44" spans="1:20" ht="12.75">
      <c r="A44" s="7">
        <v>9</v>
      </c>
      <c r="B44" s="7">
        <v>310</v>
      </c>
      <c r="C44" s="1">
        <v>17.9</v>
      </c>
      <c r="D44" s="2">
        <f t="shared" si="20"/>
        <v>0.6769085567555507</v>
      </c>
      <c r="E44" s="3">
        <f>C44-D45-E14</f>
        <v>1.960291443244449</v>
      </c>
      <c r="F44" s="4">
        <f t="shared" si="21"/>
        <v>127.19000000000001</v>
      </c>
      <c r="G44" s="5">
        <f t="shared" si="22"/>
        <v>553</v>
      </c>
      <c r="H44" s="6">
        <v>389.8436470588235</v>
      </c>
      <c r="I44" s="5">
        <f t="shared" si="23"/>
        <v>42.02458352941176</v>
      </c>
      <c r="J44" s="7">
        <v>7309</v>
      </c>
      <c r="K44" s="8">
        <f t="shared" si="24"/>
        <v>1993.1196393357884</v>
      </c>
      <c r="L44" s="9">
        <f t="shared" si="25"/>
        <v>1348.2140000000002</v>
      </c>
      <c r="M44" s="8">
        <f t="shared" si="26"/>
        <v>3967.6663606642114</v>
      </c>
      <c r="N44" s="9">
        <f t="shared" si="27"/>
        <v>317.4133088531369</v>
      </c>
      <c r="O44" s="9">
        <f t="shared" si="28"/>
        <v>352.68145428126326</v>
      </c>
      <c r="P44" s="8">
        <f t="shared" si="29"/>
        <v>963.4909088098547</v>
      </c>
      <c r="Q44" s="9">
        <f t="shared" si="30"/>
        <v>2.1497058823529414</v>
      </c>
      <c r="R44" s="9">
        <f t="shared" si="31"/>
        <v>2.231163639113472</v>
      </c>
      <c r="T44" s="9" t="s">
        <v>26</v>
      </c>
    </row>
    <row r="45" spans="1:20" s="39" customFormat="1" ht="12.75">
      <c r="A45" s="39" t="s">
        <v>27</v>
      </c>
      <c r="B45" s="40"/>
      <c r="C45" s="40">
        <f aca="true" t="shared" si="32" ref="C45:R45">AVERAGE(C36:C44)</f>
        <v>17.900000000000002</v>
      </c>
      <c r="D45" s="41">
        <f t="shared" si="32"/>
        <v>0.6769085567555508</v>
      </c>
      <c r="E45" s="41">
        <f t="shared" si="32"/>
        <v>0.9912247765777826</v>
      </c>
      <c r="F45" s="40">
        <f t="shared" si="32"/>
        <v>135.26555555555558</v>
      </c>
      <c r="G45" s="40">
        <f t="shared" si="32"/>
        <v>588.1111111111111</v>
      </c>
      <c r="H45" s="40">
        <f t="shared" si="32"/>
        <v>389.8436470588235</v>
      </c>
      <c r="I45" s="40">
        <f t="shared" si="32"/>
        <v>40.73249464052287</v>
      </c>
      <c r="J45" s="40">
        <f t="shared" si="32"/>
        <v>7309</v>
      </c>
      <c r="K45" s="40">
        <f t="shared" si="32"/>
        <v>1993.1196393357884</v>
      </c>
      <c r="L45" s="40">
        <f t="shared" si="32"/>
        <v>1433.814888888889</v>
      </c>
      <c r="M45" s="40">
        <f t="shared" si="32"/>
        <v>3882.0654717753223</v>
      </c>
      <c r="N45" s="40">
        <f t="shared" si="32"/>
        <v>310.56523774202583</v>
      </c>
      <c r="O45" s="40">
        <f t="shared" si="32"/>
        <v>345.07248638002864</v>
      </c>
      <c r="P45" s="40">
        <f t="shared" si="32"/>
        <v>992.7485079692976</v>
      </c>
      <c r="Q45" s="40">
        <f t="shared" si="32"/>
        <v>2.1497058823529414</v>
      </c>
      <c r="R45" s="40">
        <f t="shared" si="32"/>
        <v>2.166220332246353</v>
      </c>
      <c r="S45" s="40"/>
      <c r="T45" s="39">
        <f>G45/P45*100</f>
        <v>59.24069453542804</v>
      </c>
    </row>
    <row r="46" spans="12:13" ht="12.75">
      <c r="L46" s="9" t="s">
        <v>47</v>
      </c>
      <c r="M46" s="9">
        <f>M45/J45</f>
        <v>0.531134966722578</v>
      </c>
    </row>
    <row r="48" spans="2:7" ht="12.75">
      <c r="B48" s="50" t="s">
        <v>34</v>
      </c>
      <c r="C48" s="50"/>
      <c r="D48" s="50"/>
      <c r="E48" s="50"/>
      <c r="F48" s="50"/>
      <c r="G48" s="50"/>
    </row>
    <row r="49" spans="3:18" ht="12.75">
      <c r="C49" s="22" t="s">
        <v>17</v>
      </c>
      <c r="D49" s="22"/>
      <c r="E49" s="23"/>
      <c r="F49" s="22"/>
      <c r="G49" s="22"/>
      <c r="H49" s="51"/>
      <c r="I49" s="51"/>
      <c r="J49" s="24" t="s">
        <v>18</v>
      </c>
      <c r="K49" s="24"/>
      <c r="L49" s="24"/>
      <c r="M49" s="24"/>
      <c r="N49" s="24"/>
      <c r="O49" s="24"/>
      <c r="P49" s="25" t="s">
        <v>22</v>
      </c>
      <c r="Q49" s="25"/>
      <c r="R49" s="25"/>
    </row>
    <row r="50" spans="1:18" ht="12.75">
      <c r="A50" s="26" t="s">
        <v>0</v>
      </c>
      <c r="B50" s="26" t="s">
        <v>1</v>
      </c>
      <c r="C50" s="27" t="s">
        <v>3</v>
      </c>
      <c r="D50" s="27" t="s">
        <v>4</v>
      </c>
      <c r="E50" s="28" t="s">
        <v>13</v>
      </c>
      <c r="F50" s="27" t="s">
        <v>20</v>
      </c>
      <c r="G50" s="27" t="s">
        <v>8</v>
      </c>
      <c r="H50" s="27" t="s">
        <v>30</v>
      </c>
      <c r="I50" s="27" t="s">
        <v>16</v>
      </c>
      <c r="J50" s="29" t="s">
        <v>3</v>
      </c>
      <c r="K50" s="29" t="s">
        <v>4</v>
      </c>
      <c r="L50" s="29" t="s">
        <v>25</v>
      </c>
      <c r="M50" s="30" t="s">
        <v>19</v>
      </c>
      <c r="N50" s="29" t="s">
        <v>21</v>
      </c>
      <c r="O50" s="29" t="s">
        <v>9</v>
      </c>
      <c r="P50" s="31" t="s">
        <v>23</v>
      </c>
      <c r="Q50" s="25" t="s">
        <v>24</v>
      </c>
      <c r="R50" s="31" t="s">
        <v>11</v>
      </c>
    </row>
    <row r="51" spans="1:18" ht="12.75">
      <c r="A51" s="7">
        <v>1</v>
      </c>
      <c r="B51" s="7">
        <v>350</v>
      </c>
      <c r="C51" s="1">
        <v>15.93</v>
      </c>
      <c r="D51" s="2">
        <f>0.036*$E$3^0.75</f>
        <v>0.6769085567555507</v>
      </c>
      <c r="E51" s="3">
        <f>C51-D51-E6</f>
        <v>-1.9693085567555517</v>
      </c>
      <c r="F51" s="4">
        <f>IF(((C51-D51)/0.12)&lt;(M6*0.23),((C51-D51)/0.12),(M6*0.23))</f>
        <v>127.1090953603704</v>
      </c>
      <c r="G51" s="5">
        <f>F51/0.23</f>
        <v>552.6482406972626</v>
      </c>
      <c r="H51" s="6">
        <f>((C51/(F$17*1000)*100)*15.51+5.22)*F17*1000/100</f>
        <v>359.28894705882345</v>
      </c>
      <c r="I51" s="5">
        <f>(H51-F51)/6.25</f>
        <v>37.14877627175249</v>
      </c>
      <c r="J51" s="7">
        <v>7309</v>
      </c>
      <c r="K51" s="8">
        <f>106*$E$3^0.75</f>
        <v>1993.1196393357884</v>
      </c>
      <c r="L51" s="9">
        <f>F51*10.6</f>
        <v>1347.3564108199262</v>
      </c>
      <c r="M51" s="8">
        <f>J51-K51-L51</f>
        <v>3968.523949844285</v>
      </c>
      <c r="N51" s="9">
        <f>M51/12.5</f>
        <v>317.48191598754283</v>
      </c>
      <c r="O51" s="9">
        <f>N51/0.9</f>
        <v>352.75768443060315</v>
      </c>
      <c r="P51" s="8">
        <f>(G51+O51)/0.94</f>
        <v>963.197792689219</v>
      </c>
      <c r="Q51" s="9">
        <f>J51/3400</f>
        <v>2.1497058823529414</v>
      </c>
      <c r="R51" s="9">
        <f>Q51*1000/P51</f>
        <v>2.2318426170299124</v>
      </c>
    </row>
    <row r="52" spans="1:18" ht="12.75">
      <c r="A52" s="7">
        <v>2</v>
      </c>
      <c r="B52" s="7">
        <v>345</v>
      </c>
      <c r="C52" s="1">
        <v>15.93</v>
      </c>
      <c r="D52" s="2">
        <f aca="true" t="shared" si="33" ref="D52:D59">0.036*$E$3^0.75</f>
        <v>0.6769085567555507</v>
      </c>
      <c r="E52" s="3">
        <f aca="true" t="shared" si="34" ref="E52:E59">C52-D52-E7</f>
        <v>-1.7209085567555515</v>
      </c>
      <c r="F52" s="4">
        <f aca="true" t="shared" si="35" ref="F52:F59">IF(((C52-D52)/0.12)&lt;(M7*0.23),((C52-D52)/0.12),(M7*0.23))</f>
        <v>127.1090953603704</v>
      </c>
      <c r="G52" s="5">
        <f aca="true" t="shared" si="36" ref="G52:G59">F52/0.23</f>
        <v>552.6482406972626</v>
      </c>
      <c r="H52" s="6">
        <v>359.28894705882345</v>
      </c>
      <c r="I52" s="5">
        <f aca="true" t="shared" si="37" ref="I52:I59">(H52-F52)/6.25</f>
        <v>37.14877627175249</v>
      </c>
      <c r="J52" s="7">
        <v>7309</v>
      </c>
      <c r="K52" s="8">
        <f aca="true" t="shared" si="38" ref="K52:K59">106*$E$3^0.75</f>
        <v>1993.1196393357884</v>
      </c>
      <c r="L52" s="9">
        <f aca="true" t="shared" si="39" ref="L52:L59">F52*10.6</f>
        <v>1347.3564108199262</v>
      </c>
      <c r="M52" s="8">
        <f aca="true" t="shared" si="40" ref="M52:M59">J52-K52-L52</f>
        <v>3968.523949844285</v>
      </c>
      <c r="N52" s="9">
        <f aca="true" t="shared" si="41" ref="N52:N59">M52/12.5</f>
        <v>317.48191598754283</v>
      </c>
      <c r="O52" s="9">
        <f aca="true" t="shared" si="42" ref="O52:O59">N52/0.9</f>
        <v>352.75768443060315</v>
      </c>
      <c r="P52" s="8">
        <f aca="true" t="shared" si="43" ref="P52:P59">(G52+O52)/0.94</f>
        <v>963.197792689219</v>
      </c>
      <c r="Q52" s="9">
        <f aca="true" t="shared" si="44" ref="Q52:Q59">J52/3400</f>
        <v>2.1497058823529414</v>
      </c>
      <c r="R52" s="9">
        <f aca="true" t="shared" si="45" ref="R52:R59">Q52*1000/P52</f>
        <v>2.2318426170299124</v>
      </c>
    </row>
    <row r="53" spans="1:18" ht="12.75">
      <c r="A53" s="7">
        <v>3</v>
      </c>
      <c r="B53" s="7">
        <v>340</v>
      </c>
      <c r="C53" s="1">
        <v>15.93</v>
      </c>
      <c r="D53" s="2">
        <f t="shared" si="33"/>
        <v>0.6769085567555507</v>
      </c>
      <c r="E53" s="3">
        <f t="shared" si="34"/>
        <v>-1.4725085567555514</v>
      </c>
      <c r="F53" s="4">
        <f t="shared" si="35"/>
        <v>127.1090953603704</v>
      </c>
      <c r="G53" s="5">
        <f t="shared" si="36"/>
        <v>552.6482406972626</v>
      </c>
      <c r="H53" s="6">
        <v>359.28894705882345</v>
      </c>
      <c r="I53" s="5">
        <f t="shared" si="37"/>
        <v>37.14877627175249</v>
      </c>
      <c r="J53" s="7">
        <v>7309</v>
      </c>
      <c r="K53" s="8">
        <f t="shared" si="38"/>
        <v>1993.1196393357884</v>
      </c>
      <c r="L53" s="9">
        <f t="shared" si="39"/>
        <v>1347.3564108199262</v>
      </c>
      <c r="M53" s="8">
        <f t="shared" si="40"/>
        <v>3968.523949844285</v>
      </c>
      <c r="N53" s="9">
        <f t="shared" si="41"/>
        <v>317.48191598754283</v>
      </c>
      <c r="O53" s="9">
        <f t="shared" si="42"/>
        <v>352.75768443060315</v>
      </c>
      <c r="P53" s="8">
        <f t="shared" si="43"/>
        <v>963.197792689219</v>
      </c>
      <c r="Q53" s="9">
        <f t="shared" si="44"/>
        <v>2.1497058823529414</v>
      </c>
      <c r="R53" s="9">
        <f t="shared" si="45"/>
        <v>2.2318426170299124</v>
      </c>
    </row>
    <row r="54" spans="1:18" ht="12.75">
      <c r="A54" s="7">
        <v>4</v>
      </c>
      <c r="B54" s="7">
        <v>335</v>
      </c>
      <c r="C54" s="1">
        <v>15.93</v>
      </c>
      <c r="D54" s="2">
        <f t="shared" si="33"/>
        <v>0.6769085567555507</v>
      </c>
      <c r="E54" s="3">
        <f t="shared" si="34"/>
        <v>-1.2241085567555512</v>
      </c>
      <c r="F54" s="4">
        <f t="shared" si="35"/>
        <v>127.1090953603704</v>
      </c>
      <c r="G54" s="5">
        <f t="shared" si="36"/>
        <v>552.6482406972626</v>
      </c>
      <c r="H54" s="6">
        <v>359.28894705882345</v>
      </c>
      <c r="I54" s="5">
        <f t="shared" si="37"/>
        <v>37.14877627175249</v>
      </c>
      <c r="J54" s="7">
        <v>7309</v>
      </c>
      <c r="K54" s="8">
        <f t="shared" si="38"/>
        <v>1993.1196393357884</v>
      </c>
      <c r="L54" s="9">
        <f t="shared" si="39"/>
        <v>1347.3564108199262</v>
      </c>
      <c r="M54" s="8">
        <f t="shared" si="40"/>
        <v>3968.523949844285</v>
      </c>
      <c r="N54" s="9">
        <f t="shared" si="41"/>
        <v>317.48191598754283</v>
      </c>
      <c r="O54" s="9">
        <f t="shared" si="42"/>
        <v>352.75768443060315</v>
      </c>
      <c r="P54" s="8">
        <f t="shared" si="43"/>
        <v>963.197792689219</v>
      </c>
      <c r="Q54" s="9">
        <f t="shared" si="44"/>
        <v>2.1497058823529414</v>
      </c>
      <c r="R54" s="9">
        <f t="shared" si="45"/>
        <v>2.2318426170299124</v>
      </c>
    </row>
    <row r="55" spans="1:18" ht="12.75">
      <c r="A55" s="26">
        <v>5</v>
      </c>
      <c r="B55" s="26">
        <v>330</v>
      </c>
      <c r="C55" s="1">
        <v>15.93</v>
      </c>
      <c r="D55" s="2">
        <f t="shared" si="33"/>
        <v>0.6769085567555507</v>
      </c>
      <c r="E55" s="3">
        <f t="shared" si="34"/>
        <v>-0.975708556755551</v>
      </c>
      <c r="F55" s="4">
        <f t="shared" si="35"/>
        <v>127.1090953603704</v>
      </c>
      <c r="G55" s="5">
        <f t="shared" si="36"/>
        <v>552.6482406972626</v>
      </c>
      <c r="H55" s="6">
        <v>359.28894705882345</v>
      </c>
      <c r="I55" s="5">
        <f t="shared" si="37"/>
        <v>37.14877627175249</v>
      </c>
      <c r="J55" s="7">
        <v>7309</v>
      </c>
      <c r="K55" s="8">
        <f t="shared" si="38"/>
        <v>1993.1196393357884</v>
      </c>
      <c r="L55" s="9">
        <f t="shared" si="39"/>
        <v>1347.3564108199262</v>
      </c>
      <c r="M55" s="8">
        <f t="shared" si="40"/>
        <v>3968.523949844285</v>
      </c>
      <c r="N55" s="9">
        <f t="shared" si="41"/>
        <v>317.48191598754283</v>
      </c>
      <c r="O55" s="9">
        <f t="shared" si="42"/>
        <v>352.75768443060315</v>
      </c>
      <c r="P55" s="8">
        <f t="shared" si="43"/>
        <v>963.197792689219</v>
      </c>
      <c r="Q55" s="9">
        <f t="shared" si="44"/>
        <v>2.1497058823529414</v>
      </c>
      <c r="R55" s="9">
        <f t="shared" si="45"/>
        <v>2.2318426170299124</v>
      </c>
    </row>
    <row r="56" spans="1:18" ht="12.75">
      <c r="A56" s="7">
        <v>6</v>
      </c>
      <c r="B56" s="7">
        <v>325</v>
      </c>
      <c r="C56" s="1">
        <v>15.93</v>
      </c>
      <c r="D56" s="2">
        <f t="shared" si="33"/>
        <v>0.6769085567555507</v>
      </c>
      <c r="E56" s="3">
        <f t="shared" si="34"/>
        <v>-0.7273085567555526</v>
      </c>
      <c r="F56" s="4">
        <f t="shared" si="35"/>
        <v>127.1090953603704</v>
      </c>
      <c r="G56" s="5">
        <f t="shared" si="36"/>
        <v>552.6482406972626</v>
      </c>
      <c r="H56" s="6">
        <v>359.28894705882345</v>
      </c>
      <c r="I56" s="5">
        <f t="shared" si="37"/>
        <v>37.14877627175249</v>
      </c>
      <c r="J56" s="7">
        <v>7309</v>
      </c>
      <c r="K56" s="8">
        <f t="shared" si="38"/>
        <v>1993.1196393357884</v>
      </c>
      <c r="L56" s="9">
        <f t="shared" si="39"/>
        <v>1347.3564108199262</v>
      </c>
      <c r="M56" s="8">
        <f t="shared" si="40"/>
        <v>3968.523949844285</v>
      </c>
      <c r="N56" s="9">
        <f t="shared" si="41"/>
        <v>317.48191598754283</v>
      </c>
      <c r="O56" s="9">
        <f t="shared" si="42"/>
        <v>352.75768443060315</v>
      </c>
      <c r="P56" s="8">
        <f t="shared" si="43"/>
        <v>963.197792689219</v>
      </c>
      <c r="Q56" s="9">
        <f t="shared" si="44"/>
        <v>2.1497058823529414</v>
      </c>
      <c r="R56" s="9">
        <f t="shared" si="45"/>
        <v>2.2318426170299124</v>
      </c>
    </row>
    <row r="57" spans="1:18" ht="12.75">
      <c r="A57" s="7">
        <v>7</v>
      </c>
      <c r="B57" s="7">
        <v>320</v>
      </c>
      <c r="C57" s="1">
        <v>15.93</v>
      </c>
      <c r="D57" s="2">
        <f t="shared" si="33"/>
        <v>0.6769085567555507</v>
      </c>
      <c r="E57" s="3">
        <f t="shared" si="34"/>
        <v>-0.47890855675555066</v>
      </c>
      <c r="F57" s="4">
        <f t="shared" si="35"/>
        <v>127.1090953603704</v>
      </c>
      <c r="G57" s="5">
        <f t="shared" si="36"/>
        <v>552.6482406972626</v>
      </c>
      <c r="H57" s="6">
        <v>359.28894705882345</v>
      </c>
      <c r="I57" s="5">
        <f t="shared" si="37"/>
        <v>37.14877627175249</v>
      </c>
      <c r="J57" s="7">
        <v>7309</v>
      </c>
      <c r="K57" s="8">
        <f t="shared" si="38"/>
        <v>1993.1196393357884</v>
      </c>
      <c r="L57" s="9">
        <f t="shared" si="39"/>
        <v>1347.3564108199262</v>
      </c>
      <c r="M57" s="8">
        <f t="shared" si="40"/>
        <v>3968.523949844285</v>
      </c>
      <c r="N57" s="9">
        <f t="shared" si="41"/>
        <v>317.48191598754283</v>
      </c>
      <c r="O57" s="9">
        <f t="shared" si="42"/>
        <v>352.75768443060315</v>
      </c>
      <c r="P57" s="8">
        <f t="shared" si="43"/>
        <v>963.197792689219</v>
      </c>
      <c r="Q57" s="9">
        <f t="shared" si="44"/>
        <v>2.1497058823529414</v>
      </c>
      <c r="R57" s="9">
        <f t="shared" si="45"/>
        <v>2.2318426170299124</v>
      </c>
    </row>
    <row r="58" spans="1:18" ht="12.75">
      <c r="A58" s="7">
        <v>8</v>
      </c>
      <c r="B58" s="7">
        <v>315</v>
      </c>
      <c r="C58" s="1">
        <v>15.93</v>
      </c>
      <c r="D58" s="2">
        <f t="shared" si="33"/>
        <v>0.6769085567555507</v>
      </c>
      <c r="E58" s="3">
        <f t="shared" si="34"/>
        <v>-0.2305085567555505</v>
      </c>
      <c r="F58" s="4">
        <f t="shared" si="35"/>
        <v>127.1090953603704</v>
      </c>
      <c r="G58" s="5">
        <f t="shared" si="36"/>
        <v>552.6482406972626</v>
      </c>
      <c r="H58" s="6">
        <v>359.28894705882345</v>
      </c>
      <c r="I58" s="5">
        <f t="shared" si="37"/>
        <v>37.14877627175249</v>
      </c>
      <c r="J58" s="7">
        <v>7309</v>
      </c>
      <c r="K58" s="8">
        <f t="shared" si="38"/>
        <v>1993.1196393357884</v>
      </c>
      <c r="L58" s="9">
        <f t="shared" si="39"/>
        <v>1347.3564108199262</v>
      </c>
      <c r="M58" s="8">
        <f t="shared" si="40"/>
        <v>3968.523949844285</v>
      </c>
      <c r="N58" s="9">
        <f t="shared" si="41"/>
        <v>317.48191598754283</v>
      </c>
      <c r="O58" s="9">
        <f t="shared" si="42"/>
        <v>352.75768443060315</v>
      </c>
      <c r="P58" s="8">
        <f t="shared" si="43"/>
        <v>963.197792689219</v>
      </c>
      <c r="Q58" s="9">
        <f t="shared" si="44"/>
        <v>2.1497058823529414</v>
      </c>
      <c r="R58" s="9">
        <f t="shared" si="45"/>
        <v>2.2318426170299124</v>
      </c>
    </row>
    <row r="59" spans="1:20" ht="12.75">
      <c r="A59" s="7">
        <v>9</v>
      </c>
      <c r="B59" s="7">
        <v>310</v>
      </c>
      <c r="C59" s="1">
        <v>15.93</v>
      </c>
      <c r="D59" s="2">
        <f t="shared" si="33"/>
        <v>0.6769085567555507</v>
      </c>
      <c r="E59" s="3">
        <f t="shared" si="34"/>
        <v>-0.009708556755551712</v>
      </c>
      <c r="F59" s="4">
        <f t="shared" si="35"/>
        <v>127.1090953603704</v>
      </c>
      <c r="G59" s="5">
        <f t="shared" si="36"/>
        <v>552.6482406972626</v>
      </c>
      <c r="H59" s="6">
        <v>359.28894705882345</v>
      </c>
      <c r="I59" s="5">
        <f t="shared" si="37"/>
        <v>37.14877627175249</v>
      </c>
      <c r="J59" s="7">
        <v>7309</v>
      </c>
      <c r="K59" s="8">
        <f t="shared" si="38"/>
        <v>1993.1196393357884</v>
      </c>
      <c r="L59" s="9">
        <f t="shared" si="39"/>
        <v>1347.3564108199262</v>
      </c>
      <c r="M59" s="8">
        <f t="shared" si="40"/>
        <v>3968.523949844285</v>
      </c>
      <c r="N59" s="9">
        <f t="shared" si="41"/>
        <v>317.48191598754283</v>
      </c>
      <c r="O59" s="9">
        <f t="shared" si="42"/>
        <v>352.75768443060315</v>
      </c>
      <c r="P59" s="8">
        <f t="shared" si="43"/>
        <v>963.197792689219</v>
      </c>
      <c r="Q59" s="9">
        <f t="shared" si="44"/>
        <v>2.1497058823529414</v>
      </c>
      <c r="R59" s="9">
        <f t="shared" si="45"/>
        <v>2.2318426170299124</v>
      </c>
      <c r="T59" s="9" t="s">
        <v>26</v>
      </c>
    </row>
    <row r="60" spans="1:20" s="39" customFormat="1" ht="12.75">
      <c r="A60" s="39" t="s">
        <v>27</v>
      </c>
      <c r="B60" s="40"/>
      <c r="C60" s="40">
        <f aca="true" t="shared" si="46" ref="C60:R60">AVERAGE(C51:C59)</f>
        <v>15.930000000000003</v>
      </c>
      <c r="D60" s="41">
        <f t="shared" si="46"/>
        <v>0.6769085567555508</v>
      </c>
      <c r="E60" s="41">
        <f t="shared" si="46"/>
        <v>-0.978775223422218</v>
      </c>
      <c r="F60" s="40">
        <f t="shared" si="46"/>
        <v>127.1090953603704</v>
      </c>
      <c r="G60" s="40">
        <f t="shared" si="46"/>
        <v>552.6482406972626</v>
      </c>
      <c r="H60" s="40">
        <f t="shared" si="46"/>
        <v>359.28894705882345</v>
      </c>
      <c r="I60" s="40">
        <f t="shared" si="46"/>
        <v>37.14877627175249</v>
      </c>
      <c r="J60" s="40">
        <f t="shared" si="46"/>
        <v>7309</v>
      </c>
      <c r="K60" s="40">
        <f t="shared" si="46"/>
        <v>1993.1196393357884</v>
      </c>
      <c r="L60" s="40">
        <f t="shared" si="46"/>
        <v>1347.3564108199262</v>
      </c>
      <c r="M60" s="40">
        <f t="shared" si="46"/>
        <v>3968.5239498442857</v>
      </c>
      <c r="N60" s="40">
        <f t="shared" si="46"/>
        <v>317.48191598754283</v>
      </c>
      <c r="O60" s="40">
        <f t="shared" si="46"/>
        <v>352.75768443060315</v>
      </c>
      <c r="P60" s="40">
        <f t="shared" si="46"/>
        <v>963.197792689219</v>
      </c>
      <c r="Q60" s="40">
        <f t="shared" si="46"/>
        <v>2.1497058823529414</v>
      </c>
      <c r="R60" s="40">
        <f t="shared" si="46"/>
        <v>2.2318426170299124</v>
      </c>
      <c r="S60" s="40"/>
      <c r="T60" s="39">
        <f>G60/P60*100</f>
        <v>57.37640232275507</v>
      </c>
    </row>
    <row r="61" spans="12:13" ht="12.75">
      <c r="L61" s="9" t="s">
        <v>47</v>
      </c>
      <c r="M61" s="9">
        <f>M60/J60</f>
        <v>0.5429640101031996</v>
      </c>
    </row>
  </sheetData>
  <sheetProtection password="F775" sheet="1"/>
  <mergeCells count="10">
    <mergeCell ref="H34:I34"/>
    <mergeCell ref="H49:I49"/>
    <mergeCell ref="H18:I18"/>
    <mergeCell ref="H19:I19"/>
    <mergeCell ref="A1:B1"/>
    <mergeCell ref="A2:B2"/>
    <mergeCell ref="A3:B3"/>
    <mergeCell ref="B48:G48"/>
    <mergeCell ref="A18:F18"/>
    <mergeCell ref="B33:G33"/>
  </mergeCells>
  <printOptions/>
  <pageMargins left="0.75" right="0.75" top="1" bottom="1" header="0.492125985" footer="0.49212598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de variação com equaçõe do NRC1998</dc:title>
  <dc:subject/>
  <dc:creator>Marson Bruck Warpechowski</dc:creator>
  <cp:keywords/>
  <dc:description/>
  <cp:lastModifiedBy>AV</cp:lastModifiedBy>
  <dcterms:created xsi:type="dcterms:W3CDTF">2009-11-18T18:45:33Z</dcterms:created>
  <dcterms:modified xsi:type="dcterms:W3CDTF">2010-11-26T12:19:14Z</dcterms:modified>
  <cp:category/>
  <cp:version/>
  <cp:contentType/>
  <cp:contentStatus/>
</cp:coreProperties>
</file>